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Ejecucion presupuesto sept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2" l="1"/>
  <c r="E13" i="2"/>
  <c r="N65" i="2"/>
  <c r="N59" i="2" l="1"/>
  <c r="N56" i="2"/>
  <c r="N55" i="2"/>
  <c r="N37" i="2"/>
  <c r="N35" i="2" l="1"/>
  <c r="N34" i="2"/>
  <c r="N33" i="2"/>
  <c r="N32" i="2"/>
  <c r="N31" i="2"/>
  <c r="N30" i="2"/>
  <c r="N29" i="2"/>
  <c r="N27" i="2"/>
  <c r="N26" i="2"/>
  <c r="N25" i="2"/>
  <c r="N24" i="2"/>
  <c r="N23" i="2"/>
  <c r="N22" i="2"/>
  <c r="N21" i="2"/>
  <c r="N20" i="2"/>
  <c r="N19" i="2"/>
  <c r="N17" i="2"/>
  <c r="N14" i="2"/>
  <c r="N13" i="2"/>
  <c r="M56" i="2" l="1"/>
  <c r="L58" i="2" l="1"/>
  <c r="L32" i="2"/>
  <c r="L27" i="2"/>
  <c r="L22" i="2"/>
  <c r="I55" i="2"/>
  <c r="J55" i="2" l="1"/>
  <c r="M55" i="2" s="1"/>
  <c r="K55" i="2"/>
  <c r="L55" i="2" s="1"/>
  <c r="H21" i="2"/>
  <c r="K58" i="2"/>
  <c r="M58" i="2" s="1"/>
  <c r="K33" i="2"/>
  <c r="K32" i="2"/>
  <c r="K30" i="2"/>
  <c r="K27" i="2"/>
  <c r="M27" i="2" s="1"/>
  <c r="I26" i="2"/>
  <c r="J65" i="2"/>
  <c r="K65" i="2" s="1"/>
  <c r="J59" i="2"/>
  <c r="J33" i="2"/>
  <c r="J32" i="2"/>
  <c r="L59" i="2" l="1"/>
  <c r="L33" i="2"/>
  <c r="M33" i="2" s="1"/>
  <c r="K59" i="2"/>
  <c r="M59" i="2" s="1"/>
  <c r="M65" i="2"/>
  <c r="L65" i="2"/>
  <c r="L30" i="2"/>
  <c r="M30" i="2" s="1"/>
  <c r="J26" i="2"/>
  <c r="J23" i="2"/>
  <c r="J22" i="2"/>
  <c r="M22" i="2" s="1"/>
  <c r="I37" i="2"/>
  <c r="I35" i="2"/>
  <c r="I34" i="2"/>
  <c r="I32" i="2"/>
  <c r="M32" i="2" s="1"/>
  <c r="I31" i="2"/>
  <c r="I25" i="2"/>
  <c r="I23" i="2"/>
  <c r="I20" i="2"/>
  <c r="H17" i="2"/>
  <c r="I17" i="2" s="1"/>
  <c r="J17" i="2" s="1"/>
  <c r="H24" i="2"/>
  <c r="H19" i="2"/>
  <c r="I19" i="2" s="1"/>
  <c r="G24" i="2"/>
  <c r="G19" i="2"/>
  <c r="G17" i="2"/>
  <c r="G14" i="2"/>
  <c r="G13" i="2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J35" i="2" l="1"/>
  <c r="K35" i="2"/>
  <c r="L35" i="2" s="1"/>
  <c r="J37" i="2"/>
  <c r="K37" i="2" s="1"/>
  <c r="J34" i="2"/>
  <c r="K34" i="2"/>
  <c r="L34" i="2" s="1"/>
  <c r="L23" i="2"/>
  <c r="K23" i="2"/>
  <c r="M23" i="2" s="1"/>
  <c r="H13" i="2"/>
  <c r="K17" i="2"/>
  <c r="L17" i="2" s="1"/>
  <c r="J20" i="2"/>
  <c r="M20" i="2" s="1"/>
  <c r="L20" i="2"/>
  <c r="J19" i="2"/>
  <c r="K19" i="2"/>
  <c r="I24" i="2"/>
  <c r="H14" i="2"/>
  <c r="I14" i="2" s="1"/>
  <c r="J31" i="2"/>
  <c r="K31" i="2" s="1"/>
  <c r="J25" i="2"/>
  <c r="K25" i="2"/>
  <c r="K26" i="2"/>
  <c r="I21" i="2"/>
  <c r="J24" i="2"/>
  <c r="D77" i="2"/>
  <c r="D86" i="2" s="1"/>
  <c r="E76" i="2"/>
  <c r="E86" i="2" s="1"/>
  <c r="M34" i="2" l="1"/>
  <c r="L31" i="2"/>
  <c r="M31" i="2"/>
  <c r="L37" i="2"/>
  <c r="M37" i="2" s="1"/>
  <c r="M17" i="2"/>
  <c r="J21" i="2"/>
  <c r="K21" i="2"/>
  <c r="L21" i="2" s="1"/>
  <c r="I13" i="2"/>
  <c r="J13" i="2" s="1"/>
  <c r="M35" i="2"/>
  <c r="J14" i="2"/>
  <c r="K24" i="2"/>
  <c r="M24" i="2" s="1"/>
  <c r="L24" i="2"/>
  <c r="K13" i="2"/>
  <c r="L13" i="2" s="1"/>
  <c r="L26" i="2"/>
  <c r="M26" i="2" s="1"/>
  <c r="L19" i="2"/>
  <c r="M19" i="2" s="1"/>
  <c r="K14" i="2"/>
  <c r="L14" i="2" s="1"/>
  <c r="M14" i="2" s="1"/>
  <c r="H12" i="2"/>
  <c r="L25" i="2"/>
  <c r="M25" i="2" s="1"/>
  <c r="R21" i="2" l="1"/>
  <c r="M21" i="2"/>
  <c r="R26" i="2"/>
  <c r="M13" i="2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64" i="2"/>
  <c r="R38" i="2"/>
  <c r="Q76" i="2"/>
  <c r="P76" i="2"/>
  <c r="O76" i="2"/>
  <c r="N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R77" i="2" l="1"/>
  <c r="F77" i="2"/>
  <c r="H77" i="2"/>
  <c r="L77" i="2"/>
  <c r="O86" i="2"/>
  <c r="J77" i="2"/>
  <c r="N86" i="2"/>
  <c r="G77" i="2"/>
  <c r="Q86" i="2"/>
  <c r="R46" i="2"/>
  <c r="I77" i="2"/>
  <c r="P86" i="2"/>
  <c r="F76" i="2"/>
  <c r="F86" i="2" l="1"/>
  <c r="R18" i="2"/>
  <c r="G28" i="2" l="1"/>
  <c r="G76" i="2" s="1"/>
  <c r="G86" i="2" s="1"/>
  <c r="I29" i="2"/>
  <c r="I28" i="2" s="1"/>
  <c r="I76" i="2" s="1"/>
  <c r="I86" i="2" s="1"/>
  <c r="H29" i="2"/>
  <c r="H28" i="2" s="1"/>
  <c r="H76" i="2" s="1"/>
  <c r="H86" i="2" s="1"/>
  <c r="J29" i="2" l="1"/>
  <c r="J28" i="2" s="1"/>
  <c r="J76" i="2" s="1"/>
  <c r="J86" i="2" s="1"/>
  <c r="K29" i="2" l="1"/>
  <c r="K28" i="2" l="1"/>
  <c r="K76" i="2" s="1"/>
  <c r="K86" i="2" s="1"/>
  <c r="L29" i="2"/>
  <c r="L28" i="2" s="1"/>
  <c r="L76" i="2" s="1"/>
  <c r="L86" i="2" s="1"/>
  <c r="M29" i="2" l="1"/>
  <c r="M28" i="2" s="1"/>
  <c r="M76" i="2" s="1"/>
  <c r="M86" i="2" s="1"/>
  <c r="R29" i="2" l="1"/>
  <c r="R28" i="2" s="1"/>
  <c r="R76" i="2" s="1"/>
  <c r="R86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<sst xmlns="http://schemas.openxmlformats.org/spreadsheetml/2006/main" count="107" uniqueCount="107">
  <si>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</si>
  <si>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</si>
  <si>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</si>
  <si>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</si>
  <si>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</si>
  <si>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</si>
  <si>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</si>
  <si>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</si>
  <si>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</si>
  <si>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</si>
  <si>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</si>
  <si>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</si>
  <si>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</si>
  <si>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</si>
  <si>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</si>
  <si>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</si>
  <si>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</si>
  <si>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</si>
  <si>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</si>
  <si>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</si>
  <si>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</si>
  <si>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</si>
  <si>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</si>
  <si>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</si>
  <si>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</si>
  <si>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</si>
  <si>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</si>
  <si>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</si>
  <si>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</si>
  <si>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</si>
  <si>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</si>
  <si>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</si>
  <si>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</si>
  <si>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</si>
  <si>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</si>
  <si>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</si>
  <si>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</si>
  <si>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</si>
  <si>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</si>
  <si>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</si>
  <si>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</si>
  <si>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</si>
  <si>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</si>
  <si>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</si>
  <si>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</si>
  <si>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</si>
  <si>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</si>
  <si>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</si>
  <si>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</si>
  <si>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</si>
  <si>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</si>
  <si>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</si>
  <si>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</si>
  <si>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</si>
  <si>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</si>
  <si>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</si>
  <si>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</si>
  <si>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</si>
  <si>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</si>
  <si>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</si>
  <si>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</si>
  <si>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</si>
  <si>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</si>
  <si>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</si>
  <si>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</si>
  <si>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</si>
  <si>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</si>
  <si>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</si>
  <si>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</si>
  <si>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</si>
  <si>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</si>
  <si>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</si>
  <si>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</si>
  <si>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</si>
  <si>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</si>
  <si>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</si>
  <si>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</si>
  <si>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</si>
  <si>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</si>
  <si>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</si>
  <si>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</si>
  <si>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</si>
  <si>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</si>
  <si>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</si>
  <si>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</si>
  <si>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</si>
  <si>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</si>
  <si>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</si>
  <si>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</si>
  <si>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</si>
  <si>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</si>
  <si>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</si>
  <si>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</si>
  <si>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</si>
  <si>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</si>
  <si>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</si>
  <si>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</si>
  <si>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</si>
  <si>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</si>
  <si>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</si>
  <si>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</si>
  <si>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                           Analista Dep. de Presupuesto                                                                                  </t>
  </si>
  <si>
    <t xml:space="preserve">  Revisado por:    Lic. Felipe Lopez</t>
  </si>
  <si>
    <t>Aprobado por: Lic. Maria Mercedes Troncoso</t>
  </si>
  <si>
    <t xml:space="preserve">              Directora Fianaciera</t>
  </si>
  <si>
    <t xml:space="preserve"> Enc. Contabilidad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</si>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</sst>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43" fontId="0" fillId="0" borderId="12" xfId="0" applyNumberFormat="1" applyBorder="1" applyAlignment="1">
      <alignment vertical="center" wrapText="1"/>
    </xf>
    <xf numFmtId="43" fontId="3" fillId="0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438151</xdr:colOff>
      <xdr:row>3</xdr:row>
      <xdr:rowOff>38099</xdr:rowOff>
    </xdr:from>
    <xdr:to>
      <xdr:col>17</xdr:col>
      <xdr:colOff>9525</xdr:colOff>
      <xdr:row>7</xdr:row>
      <xdr:rowOff>38100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2676" y="781049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3</xdr:row>
      <xdr:rowOff>38100</xdr:rowOff>
    </xdr:from>
    <xdr:to>
      <xdr:col>2</xdr:col>
      <xdr:colOff>1600201</xdr:colOff>
      <xdr:row>7</xdr:row>
      <xdr:rowOff>47624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781050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100"/>
  <sheetViews>
    <sheetView showGridLines="0" tabSelected="1" topLeftCell="A3" workbookViewId="0">
      <selection activeCell="C11" sqref="C1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4" width="22" customWidth="1"/>
    <col min="5" max="5" width="23.42578125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14.140625" customWidth="1"/>
    <col min="12" max="12" width="14.85546875" customWidth="1"/>
    <col min="13" max="13" width="17.5703125" customWidth="1"/>
    <col min="14" max="14" width="16.7109375" customWidth="1"/>
    <col min="15" max="15" width="8.85546875" customWidth="1"/>
    <col min="16" max="16" width="10.85546875" customWidth="1"/>
    <col min="17" max="17" width="10" customWidth="1"/>
    <col min="18" max="18" width="18.4257812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4" t="s">
        <v>96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3:19" ht="21" customHeight="1" x14ac:dyDescent="0.25">
      <c r="C4" s="56" t="s">
        <v>97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59" t="s">
        <v>99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 x14ac:dyDescent="0.25">
      <c r="C6" s="61" t="s">
        <v>90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36"/>
    </row>
    <row r="7" spans="3:19" ht="15.75" customHeight="1" x14ac:dyDescent="0.25">
      <c r="C7" s="47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48" t="s">
        <v>65</v>
      </c>
      <c r="D9" s="49" t="s">
        <v>92</v>
      </c>
      <c r="E9" s="49" t="s">
        <v>91</v>
      </c>
      <c r="F9" s="51" t="s">
        <v>89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3:19" x14ac:dyDescent="0.25">
      <c r="C10" s="58"/>
      <c r="D10" s="50"/>
      <c r="E10" s="50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2447575.02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58896821.62000002</v>
      </c>
      <c r="K12" s="11">
        <f t="shared" si="0"/>
        <v>57555865.439999983</v>
      </c>
      <c r="L12" s="11">
        <f t="shared" si="0"/>
        <v>55046541.020000003</v>
      </c>
      <c r="M12" s="11">
        <f t="shared" ref="M12:Q12" si="1">+M13+M14+M15+M16+M17</f>
        <v>54924335.540000014</v>
      </c>
      <c r="N12" s="11">
        <f t="shared" si="1"/>
        <v>66710418.150000028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577208365.84000003</v>
      </c>
    </row>
    <row r="13" spans="3:19" x14ac:dyDescent="0.25">
      <c r="C13" s="3" t="s">
        <v>2</v>
      </c>
      <c r="D13" s="34">
        <v>536451238</v>
      </c>
      <c r="E13" s="35">
        <f>1512982.02+819000</f>
        <v>2331982.02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f>219609021.02-F13-G13-H13-I13</f>
        <v>42425859.670000017</v>
      </c>
      <c r="K13" s="12">
        <f>261339946.02-F13-G13-H13-I13-J13</f>
        <v>41730924.999999985</v>
      </c>
      <c r="L13" s="12">
        <f>302731811.9-F13-G13-H13-I13-J13-K13</f>
        <v>41391865.88000001</v>
      </c>
      <c r="M13" s="12">
        <f>343778082.2-F13-G13-H13-I13-J13-K13-L13</f>
        <v>41046270.300000012</v>
      </c>
      <c r="N13" s="12">
        <f>385440130.05-F13-G13-H13-I13-J13-K13-L13-M13</f>
        <v>41662047.850000024</v>
      </c>
      <c r="O13" s="12">
        <v>0</v>
      </c>
      <c r="P13" s="12">
        <v>0</v>
      </c>
      <c r="Q13" s="12">
        <v>0</v>
      </c>
      <c r="R13" s="12">
        <f>+F13+G13+H13+I13+J13+K13+L13+M13+N13+O13+P13+Q13</f>
        <v>385440130.05000001</v>
      </c>
    </row>
    <row r="14" spans="3:19" x14ac:dyDescent="0.25">
      <c r="C14" s="3" t="s">
        <v>3</v>
      </c>
      <c r="D14" s="34">
        <v>348862009</v>
      </c>
      <c r="E14" s="12">
        <v>115593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f>91459329.05-F14-G14-H14-I14</f>
        <v>10014190.609999999</v>
      </c>
      <c r="K14" s="12">
        <f>100941519.66-F14-G14-H14-I14-J14</f>
        <v>9482190.6099999994</v>
      </c>
      <c r="L14" s="12">
        <f>108348685.27-F14-G14-H14-I14-J14-K14</f>
        <v>7407165.6099999994</v>
      </c>
      <c r="M14" s="12">
        <f>115935850.88-F14-G14-H14-I14-J14-K14-L14</f>
        <v>7587165.6099999994</v>
      </c>
      <c r="N14" s="12">
        <f>123522083.16-F14-G14-H14-I14-J14-K14-L14-M14</f>
        <v>7586232.2800000012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123522083.16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11134940</v>
      </c>
      <c r="O16" s="12">
        <v>0</v>
      </c>
      <c r="P16" s="12">
        <v>0</v>
      </c>
      <c r="Q16" s="12">
        <v>0</v>
      </c>
      <c r="R16" s="12">
        <f t="shared" si="3"/>
        <v>11134940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f>31902855.62-F17-G17-H17-I17</f>
        <v>6456771.3400000008</v>
      </c>
      <c r="K17" s="12">
        <f>38245605.45-F17-G17-H17-I17-J17</f>
        <v>6342749.830000001</v>
      </c>
      <c r="L17" s="12">
        <f>44493114.98-F17-G17-H17-I17-J17-K17</f>
        <v>6247509.5299999947</v>
      </c>
      <c r="M17" s="12">
        <f>50784014.61-F17-G17-H17-I17-J17-K17-L17</f>
        <v>6290899.6300000055</v>
      </c>
      <c r="N17" s="12">
        <f>57111212.63-F17-G17-H17-I17-J17-K17-L17-M17</f>
        <v>6327198.0200000042</v>
      </c>
      <c r="O17" s="12">
        <v>0</v>
      </c>
      <c r="P17" s="12">
        <v>0</v>
      </c>
      <c r="Q17" s="12">
        <v>0</v>
      </c>
      <c r="R17" s="12">
        <f t="shared" si="3"/>
        <v>57111212.630000003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20158772.539999999</v>
      </c>
      <c r="F18" s="16">
        <f t="shared" ref="F18:L18" si="4">+F19+F20+F21+F22+F23+F24+F25+F26+F27</f>
        <v>6870920.75</v>
      </c>
      <c r="G18" s="11">
        <f t="shared" si="4"/>
        <v>2659973.13</v>
      </c>
      <c r="H18" s="11">
        <f t="shared" si="4"/>
        <v>6007375.3399999999</v>
      </c>
      <c r="I18" s="11">
        <f t="shared" si="4"/>
        <v>5461103.540000001</v>
      </c>
      <c r="J18" s="11">
        <f t="shared" si="4"/>
        <v>3143054.5599999987</v>
      </c>
      <c r="K18" s="11">
        <f t="shared" si="4"/>
        <v>5462547.8100000005</v>
      </c>
      <c r="L18" s="11">
        <f t="shared" si="4"/>
        <v>3298650.8200000017</v>
      </c>
      <c r="M18" s="11">
        <f t="shared" ref="M18:Q18" si="5">+M19+M20+M21+M22+M23+M24+M25+M26+M27</f>
        <v>5141505.6899999976</v>
      </c>
      <c r="N18" s="11">
        <f t="shared" si="5"/>
        <v>9917064.1000000015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47962195.740000002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f>6803376.22-F19-G19-H19-I19</f>
        <v>654526.93999999948</v>
      </c>
      <c r="K19" s="12">
        <f>9349499.98-F19-G19-H19-I19-J19</f>
        <v>2546123.7600000007</v>
      </c>
      <c r="L19" s="12">
        <f>10789210.8-F19-G19-H19-I19-J19-K19</f>
        <v>1439710.8200000003</v>
      </c>
      <c r="M19" s="12">
        <f>12650177.53-F19-G19-H19-I19-J19-K19-L19</f>
        <v>1860966.7299999995</v>
      </c>
      <c r="N19" s="12">
        <f>14443958.57-F19-G19-H19-I19-J19-K19-L19-M19</f>
        <v>1793781.0399999982</v>
      </c>
      <c r="O19" s="12">
        <v>0</v>
      </c>
      <c r="P19" s="12">
        <v>0</v>
      </c>
      <c r="Q19" s="12">
        <v>0</v>
      </c>
      <c r="R19" s="12">
        <f>+F19+G19+H19+I19+J19+K19+L19+M19+N19+O19+P19+Q19</f>
        <v>14443958.57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f>36226-I20</f>
        <v>0</v>
      </c>
      <c r="K20" s="12">
        <v>0</v>
      </c>
      <c r="L20" s="12">
        <f>36226-I20</f>
        <v>0</v>
      </c>
      <c r="M20" s="12">
        <f>281891.23-F20-G20-H20-I20-J20-K20-L20</f>
        <v>245665.22999999998</v>
      </c>
      <c r="N20" s="12">
        <f>281891.23-I20-M20</f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281891.23</v>
      </c>
    </row>
    <row r="21" spans="3:18" x14ac:dyDescent="0.25">
      <c r="C21" s="3" t="s">
        <v>10</v>
      </c>
      <c r="D21" s="35">
        <v>10000000</v>
      </c>
      <c r="E21" s="40">
        <v>0</v>
      </c>
      <c r="F21" s="40">
        <v>0</v>
      </c>
      <c r="G21" s="44">
        <v>0</v>
      </c>
      <c r="H21" s="36">
        <f>1670862.5</f>
        <v>1670862.5</v>
      </c>
      <c r="I21" s="40">
        <f>3842120-H21</f>
        <v>2171257.5</v>
      </c>
      <c r="J21" s="12">
        <f>3842120-H21-I21</f>
        <v>0</v>
      </c>
      <c r="K21" s="40">
        <f>5420042.5-H21-I21</f>
        <v>1577922.5</v>
      </c>
      <c r="L21" s="40">
        <f>5420042.5-H21-I21-K21</f>
        <v>0</v>
      </c>
      <c r="M21" s="40">
        <f>7690590-F21-G21-H21-I21-J21-K21-L21</f>
        <v>2270547.5</v>
      </c>
      <c r="N21" s="40">
        <f>7690590-H21-I21-K21-M21</f>
        <v>0</v>
      </c>
      <c r="O21" s="40">
        <v>0</v>
      </c>
      <c r="P21" s="40">
        <v>0</v>
      </c>
      <c r="Q21" s="40">
        <v>0</v>
      </c>
      <c r="R21" s="40">
        <f>+F21+G21+H21+I21+J21+K21+L21+M21+N21+O21+P21+Q21-G21</f>
        <v>7690590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f>I22-9960</f>
        <v>0</v>
      </c>
      <c r="K22" s="12">
        <v>0</v>
      </c>
      <c r="L22" s="12">
        <f>9960-I22</f>
        <v>0</v>
      </c>
      <c r="M22" s="12">
        <f>9960-F22-G22-H22-I22-J22-K22-L22</f>
        <v>0</v>
      </c>
      <c r="N22" s="12">
        <f>9960-I22</f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f>348752.54-H23</f>
        <v>189979.99999999997</v>
      </c>
      <c r="K23" s="12">
        <f>348752.54-H23-J23</f>
        <v>0</v>
      </c>
      <c r="L23" s="12">
        <f>348752.54-H23-J23</f>
        <v>0</v>
      </c>
      <c r="M23" s="12">
        <f>348752.54-F23-G23-H23-I23-J23-K23-L23</f>
        <v>0</v>
      </c>
      <c r="N23" s="12">
        <f>538732.54-H23-J23</f>
        <v>189980.00000000003</v>
      </c>
      <c r="O23" s="12">
        <v>0</v>
      </c>
      <c r="P23" s="12">
        <v>0</v>
      </c>
      <c r="Q23" s="12">
        <v>0</v>
      </c>
      <c r="R23" s="12">
        <f t="shared" si="6"/>
        <v>538732.54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f>8600965.36-F24-G24-H24-I24</f>
        <v>761938.06999999937</v>
      </c>
      <c r="K24" s="12">
        <f>9505350.19-F24-G24-H24-I24-J24</f>
        <v>904384.83000000007</v>
      </c>
      <c r="L24" s="12">
        <f>10262662.38-F24-G24-H24-I24-J24-K24</f>
        <v>757312.19000000134</v>
      </c>
      <c r="M24" s="12">
        <f>11026988.61-F24-G24-H24-I24-J24-K24-L24</f>
        <v>764326.22999999858</v>
      </c>
      <c r="N24" s="12">
        <f>17858645.92-F24-G24-H24-I24-J24-K24-L24-M24</f>
        <v>6831657.3100000024</v>
      </c>
      <c r="O24" s="12">
        <v>0</v>
      </c>
      <c r="P24" s="12">
        <v>0</v>
      </c>
      <c r="Q24" s="12">
        <v>0</v>
      </c>
      <c r="R24" s="12">
        <f t="shared" si="6"/>
        <v>17858645.920000002</v>
      </c>
    </row>
    <row r="25" spans="3:18" x14ac:dyDescent="0.25">
      <c r="C25" s="3" t="s">
        <v>14</v>
      </c>
      <c r="D25" s="35">
        <v>2607000</v>
      </c>
      <c r="E25" s="12">
        <v>20000000</v>
      </c>
      <c r="F25" s="34">
        <v>0</v>
      </c>
      <c r="G25" s="12">
        <v>0</v>
      </c>
      <c r="H25" s="36">
        <v>1980659.54</v>
      </c>
      <c r="I25" s="12">
        <f>2179182.74-H25</f>
        <v>198523.20000000019</v>
      </c>
      <c r="J25" s="12">
        <f>2236900.09-H25-I25</f>
        <v>57717.349999999627</v>
      </c>
      <c r="K25" s="12">
        <f>2558516.81-H25-I25-J25</f>
        <v>321616.7200000002</v>
      </c>
      <c r="L25" s="12">
        <f>3471642.62-H25-I25-J25-K25</f>
        <v>913125.81</v>
      </c>
      <c r="M25" s="12">
        <f>3471642.62-F25-G25-H25-I25-J25-K25-L25</f>
        <v>0</v>
      </c>
      <c r="N25" s="12">
        <f>4100637.69-H25-I25-J25-K25-L25</f>
        <v>628995.06999999983</v>
      </c>
      <c r="O25" s="12">
        <v>0</v>
      </c>
      <c r="P25" s="12">
        <v>0</v>
      </c>
      <c r="Q25" s="12">
        <v>0</v>
      </c>
      <c r="R25" s="12">
        <f t="shared" si="6"/>
        <v>4100637.69</v>
      </c>
    </row>
    <row r="26" spans="3:18" x14ac:dyDescent="0.25">
      <c r="C26" s="3" t="s">
        <v>15</v>
      </c>
      <c r="D26" s="35">
        <v>4060000</v>
      </c>
      <c r="E26" s="40">
        <v>0</v>
      </c>
      <c r="F26" s="40">
        <v>0</v>
      </c>
      <c r="G26" s="44">
        <v>0</v>
      </c>
      <c r="H26" s="40">
        <v>0</v>
      </c>
      <c r="I26" s="40">
        <f>785234.91-H26</f>
        <v>785234.91</v>
      </c>
      <c r="J26" s="40">
        <f>1016127.11-I26</f>
        <v>230892.19999999995</v>
      </c>
      <c r="K26" s="40">
        <f>1128627.11-I26-J26</f>
        <v>112500.00000000012</v>
      </c>
      <c r="L26" s="40">
        <f>1317129.11-I26-J26-K26</f>
        <v>188502</v>
      </c>
      <c r="M26" s="40">
        <f>1317129.11-F26-G26-H26-I26-J26-K26-L26</f>
        <v>0</v>
      </c>
      <c r="N26" s="40">
        <f>1789779.79-I26-J26-K26-L26</f>
        <v>472650.67999999993</v>
      </c>
      <c r="O26" s="40">
        <v>0</v>
      </c>
      <c r="P26" s="40">
        <v>0</v>
      </c>
      <c r="Q26" s="40">
        <v>0</v>
      </c>
      <c r="R26" s="40">
        <f>+F26+G26+H26+I26+J26+K26+L26+M26+N26+O26+P26+Q26-G26</f>
        <v>1789779.79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1248000</v>
      </c>
      <c r="K27" s="12">
        <f>1248000-J27</f>
        <v>0</v>
      </c>
      <c r="L27" s="12">
        <f>1248000-J27</f>
        <v>0</v>
      </c>
      <c r="M27" s="12">
        <f>1248000-F27-G27-H27-I27-J27-K27-L27</f>
        <v>0</v>
      </c>
      <c r="N27" s="12">
        <f>1248000-J27</f>
        <v>0</v>
      </c>
      <c r="O27" s="12">
        <v>0</v>
      </c>
      <c r="P27" s="12">
        <v>0</v>
      </c>
      <c r="Q27" s="12">
        <v>0</v>
      </c>
      <c r="R27" s="12">
        <f t="shared" si="6"/>
        <v>1248000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46">
        <f t="shared" si="7"/>
        <v>1112843.3300000005</v>
      </c>
      <c r="K28" s="11">
        <f t="shared" si="7"/>
        <v>1201166.49</v>
      </c>
      <c r="L28" s="11">
        <f t="shared" si="7"/>
        <v>1583399.8799999994</v>
      </c>
      <c r="M28" s="11">
        <f t="shared" ref="M28:Q28" si="8">+M29+M30+M31+M32+M33+M34+M35+M36+M37</f>
        <v>5324036.9999999991</v>
      </c>
      <c r="N28" s="11">
        <f t="shared" si="8"/>
        <v>672145.01000000094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17177430.57</v>
      </c>
    </row>
    <row r="29" spans="3:18" x14ac:dyDescent="0.25">
      <c r="C29" s="3" t="s">
        <v>18</v>
      </c>
      <c r="D29" s="35">
        <v>1937000</v>
      </c>
      <c r="E29" s="40">
        <v>0</v>
      </c>
      <c r="F29" s="40">
        <v>0</v>
      </c>
      <c r="G29" s="40">
        <v>133860</v>
      </c>
      <c r="H29" s="36">
        <f>313862.3-G29</f>
        <v>180002.3</v>
      </c>
      <c r="I29" s="40">
        <f>322142.3-G29-H29</f>
        <v>8280</v>
      </c>
      <c r="J29" s="40">
        <f>434519.9-G29-H29-I29</f>
        <v>112377.60000000003</v>
      </c>
      <c r="K29" s="40">
        <f>713879.18-G29-H29-I29-J29</f>
        <v>279359.28000000003</v>
      </c>
      <c r="L29" s="40">
        <f>741299.18-G29-H29-I29-J29-K29</f>
        <v>27420</v>
      </c>
      <c r="M29" s="40">
        <f>779059.18-F29-G29-H29-I29-J29-K29-L29</f>
        <v>37760</v>
      </c>
      <c r="N29" s="40">
        <f>863999.18-G29-H29-I29-J29-K29-L29-M29</f>
        <v>84940.000000000058</v>
      </c>
      <c r="O29" s="40">
        <v>0</v>
      </c>
      <c r="P29" s="40">
        <v>0</v>
      </c>
      <c r="Q29" s="40">
        <v>0</v>
      </c>
      <c r="R29" s="40">
        <f>+F29+G29+H29+I29+J29+K29+L29+M29+N29+O29+P29+Q29</f>
        <v>863999.18000000017</v>
      </c>
    </row>
    <row r="30" spans="3:18" s="4" customFormat="1" x14ac:dyDescent="0.25">
      <c r="C30" s="41" t="s">
        <v>19</v>
      </c>
      <c r="D30" s="42">
        <v>2187500</v>
      </c>
      <c r="E30" s="34">
        <v>0</v>
      </c>
      <c r="F30" s="43">
        <v>0</v>
      </c>
      <c r="G30" s="34">
        <v>0</v>
      </c>
      <c r="H30" s="34">
        <v>0</v>
      </c>
      <c r="I30" s="34">
        <v>0</v>
      </c>
      <c r="J30" s="40">
        <v>222.55</v>
      </c>
      <c r="K30" s="34">
        <f>65712.55-J30</f>
        <v>65490</v>
      </c>
      <c r="L30" s="34">
        <f>65712.55-J30-K30</f>
        <v>0</v>
      </c>
      <c r="M30" s="34">
        <f>1278339.55-F30-G30-H30-I30-J30-K30-L30</f>
        <v>1212627</v>
      </c>
      <c r="N30" s="34">
        <f>1434612.05-J30-K30-M30</f>
        <v>156272.5</v>
      </c>
      <c r="O30" s="34">
        <v>0</v>
      </c>
      <c r="P30" s="34">
        <v>0</v>
      </c>
      <c r="Q30" s="34">
        <v>0</v>
      </c>
      <c r="R30" s="34">
        <f t="shared" ref="R30:R37" si="10">+F30+G30+H30+I30+J30+K30+L30+M30+N30+O30+P30+Q30</f>
        <v>1434612.05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40">
        <f>653879.85-H31-I31</f>
        <v>324810</v>
      </c>
      <c r="K31" s="12">
        <f>962992.65-H31-I31-J31</f>
        <v>309112.80000000005</v>
      </c>
      <c r="L31" s="12">
        <f>1240682.05-H31-I31-J31-K31</f>
        <v>277689.40000000002</v>
      </c>
      <c r="M31" s="12">
        <f>1251032.05-F31-G31-H31-I31-J31-K31-L31</f>
        <v>10350</v>
      </c>
      <c r="N31" s="12">
        <f>1575590.9-H31-I31-J31-K31-L31-M31</f>
        <v>324558.84999999974</v>
      </c>
      <c r="O31" s="12">
        <v>0</v>
      </c>
      <c r="P31" s="12">
        <v>0</v>
      </c>
      <c r="Q31" s="12">
        <v>0</v>
      </c>
      <c r="R31" s="12">
        <f t="shared" si="10"/>
        <v>1575590.9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40">
        <f>12744-H32</f>
        <v>0</v>
      </c>
      <c r="K32" s="12">
        <f>12744-H32</f>
        <v>0</v>
      </c>
      <c r="L32" s="12">
        <f>12744-H32</f>
        <v>0</v>
      </c>
      <c r="M32" s="12">
        <f>12744-F32-G32-H32-I32-J32-K32-L32</f>
        <v>0</v>
      </c>
      <c r="N32" s="12">
        <f>12744-H32</f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40">
        <f>69131.9-I33</f>
        <v>67871.899999999994</v>
      </c>
      <c r="K33" s="12">
        <f>69131.9-I33-J33</f>
        <v>0</v>
      </c>
      <c r="L33" s="12">
        <f>69131.9-I33-J33</f>
        <v>0</v>
      </c>
      <c r="M33" s="12">
        <f>69131.9-F33-G33-H33-I33-J33-K33-L33</f>
        <v>0</v>
      </c>
      <c r="N33" s="12">
        <f>69131.9-I33-J33</f>
        <v>0</v>
      </c>
      <c r="O33" s="12">
        <v>0</v>
      </c>
      <c r="P33" s="12">
        <v>0</v>
      </c>
      <c r="Q33" s="12">
        <v>0</v>
      </c>
      <c r="R33" s="12">
        <f t="shared" si="10"/>
        <v>69131.899999999994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40">
        <f>29908.47-H34-I34</f>
        <v>17029.920000000002</v>
      </c>
      <c r="K34" s="12">
        <f>36988.47-H34-I34-J34</f>
        <v>7080</v>
      </c>
      <c r="L34" s="12">
        <f>36988.47-H34-I34-J34-K34</f>
        <v>0</v>
      </c>
      <c r="M34" s="12">
        <f>36988.47-F34-G34-H34-I34-J34-K34-L34</f>
        <v>0</v>
      </c>
      <c r="N34" s="12">
        <f>36988.47-H34-I34-J34-K34</f>
        <v>0</v>
      </c>
      <c r="O34" s="12">
        <v>0</v>
      </c>
      <c r="P34" s="12">
        <v>0</v>
      </c>
      <c r="Q34" s="12">
        <v>0</v>
      </c>
      <c r="R34" s="12">
        <f t="shared" si="10"/>
        <v>36988.47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40">
        <f>5437336.36-H35-I35</f>
        <v>12470.970000000671</v>
      </c>
      <c r="K35" s="12">
        <f>5569732.36-H35-I35-J35</f>
        <v>132396</v>
      </c>
      <c r="L35" s="12">
        <f>5599100.68-H35-I35-J35-K35</f>
        <v>29368.319999999367</v>
      </c>
      <c r="M35" s="12">
        <f>9627000.68-F35-G35-H35-I35-J35-K35-L35</f>
        <v>4027899.9999999991</v>
      </c>
      <c r="N35" s="12">
        <f>9644110.88-H35-I35-J35-K35-L35-M35</f>
        <v>17110.200000001118</v>
      </c>
      <c r="O35" s="12">
        <v>0</v>
      </c>
      <c r="P35" s="12">
        <v>0</v>
      </c>
      <c r="Q35" s="12">
        <v>0</v>
      </c>
      <c r="R35" s="12">
        <f t="shared" si="10"/>
        <v>9644110.8800000008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40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40">
        <f>1758939.16-H37-I37</f>
        <v>578060.3899999999</v>
      </c>
      <c r="K37" s="12">
        <f>2166667.57-H37-I37-J37</f>
        <v>407728.40999999992</v>
      </c>
      <c r="L37" s="12">
        <f>3415589.73-H37-I37-J37-K37</f>
        <v>1248922.1600000001</v>
      </c>
      <c r="M37" s="12">
        <f>3450989.73-F37-G37-H37-I37-J37-K37-L37</f>
        <v>35400</v>
      </c>
      <c r="N37" s="12">
        <f>3540253.19-H37-I37-J37-K37-L37-M37</f>
        <v>89263.459999999963</v>
      </c>
      <c r="O37" s="12">
        <v>0</v>
      </c>
      <c r="P37" s="12">
        <v>0</v>
      </c>
      <c r="Q37" s="12">
        <v>0</v>
      </c>
      <c r="R37" s="12">
        <f t="shared" si="10"/>
        <v>3540253.19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110052018719.25999</v>
      </c>
      <c r="F54" s="19">
        <f t="shared" ref="F54:L54" si="17">+F55+F56+F57+F58+F59+F60+F61+F62+F63</f>
        <v>0</v>
      </c>
      <c r="G54" s="11">
        <f t="shared" si="17"/>
        <v>11708700</v>
      </c>
      <c r="H54" s="11">
        <f t="shared" si="17"/>
        <v>609083.84</v>
      </c>
      <c r="I54" s="11">
        <f t="shared" si="17"/>
        <v>79496.599999999977</v>
      </c>
      <c r="J54" s="11">
        <f t="shared" si="17"/>
        <v>92040</v>
      </c>
      <c r="K54" s="11">
        <f t="shared" si="17"/>
        <v>41971.830000000075</v>
      </c>
      <c r="L54" s="11">
        <f t="shared" si="17"/>
        <v>816518.62</v>
      </c>
      <c r="M54" s="11">
        <f t="shared" ref="M54:Q54" si="18">+M55+M56+M57+M58+M59+M60+M61+M62+M63</f>
        <v>82952.820000000007</v>
      </c>
      <c r="N54" s="11">
        <f t="shared" si="18"/>
        <v>384346125.30000001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397776889.00999999</v>
      </c>
    </row>
    <row r="55" spans="3:18" x14ac:dyDescent="0.25">
      <c r="C55" s="3" t="s">
        <v>44</v>
      </c>
      <c r="D55" s="35">
        <v>2975000</v>
      </c>
      <c r="E55" s="40">
        <v>409119.26</v>
      </c>
      <c r="F55" s="18">
        <v>0</v>
      </c>
      <c r="G55" s="36">
        <v>0</v>
      </c>
      <c r="H55" s="45">
        <v>609083.84</v>
      </c>
      <c r="I55" s="36">
        <f>688580.44-H55</f>
        <v>79496.599999999977</v>
      </c>
      <c r="J55" s="13">
        <f>688580.44-H55-I55</f>
        <v>0</v>
      </c>
      <c r="K55" s="40">
        <f>730552.27-H55-I55</f>
        <v>41971.830000000075</v>
      </c>
      <c r="L55" s="13">
        <f>730552.27-H55-I55-K55</f>
        <v>0</v>
      </c>
      <c r="M55" s="40">
        <f>744710.15-F55-G55-H55-I55-J55-K55-L55</f>
        <v>14157.880000000005</v>
      </c>
      <c r="N55" s="40">
        <f>1834835.45-H55-I55-K55-M55</f>
        <v>1090125.2999999998</v>
      </c>
      <c r="O55" s="40">
        <v>0</v>
      </c>
      <c r="P55" s="40">
        <v>0</v>
      </c>
      <c r="Q55" s="40">
        <v>0</v>
      </c>
      <c r="R55" s="40">
        <f>+F55+G55+H55+I55+J55+K55+L55+M55+N55+O55+P55+Q55</f>
        <v>1834835.4499999997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f>68794.94-F56-G56-H56-I56-J56-K56-L56</f>
        <v>68794.94</v>
      </c>
      <c r="N56" s="12">
        <f>68794.94-M56</f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68794.94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f>11708700-G58</f>
        <v>0</v>
      </c>
      <c r="L58" s="13">
        <f>11708700-G58</f>
        <v>0</v>
      </c>
      <c r="M58" s="13">
        <f>11708700-F58-G58-H58-I58-J58-K58-L58</f>
        <v>0</v>
      </c>
      <c r="N58" s="13">
        <f>11708700-G58</f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2">
        <f>92040</f>
        <v>92040</v>
      </c>
      <c r="K59" s="13">
        <f>92040-J59</f>
        <v>0</v>
      </c>
      <c r="L59" s="13">
        <f>908558.62-J59</f>
        <v>816518.62</v>
      </c>
      <c r="M59" s="12">
        <f>908558.62-F59-G59-H59-I59-J59-K59-L59</f>
        <v>0</v>
      </c>
      <c r="N59" s="12">
        <f>908558.62-J59-L59</f>
        <v>0</v>
      </c>
      <c r="O59" s="13">
        <v>0</v>
      </c>
      <c r="P59" s="12">
        <v>0</v>
      </c>
      <c r="Q59" s="12">
        <v>0</v>
      </c>
      <c r="R59" s="12">
        <f t="shared" si="20"/>
        <v>908558.62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110039900900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383256000</v>
      </c>
      <c r="O63" s="12">
        <v>0</v>
      </c>
      <c r="P63" s="12">
        <v>0</v>
      </c>
      <c r="Q63" s="12">
        <v>0</v>
      </c>
      <c r="R63" s="12">
        <f t="shared" si="20"/>
        <v>383256000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360000000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13166723.109999999</v>
      </c>
      <c r="K64" s="11">
        <f t="shared" si="21"/>
        <v>4118897.41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23361251.900000002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40646872.420000002</v>
      </c>
    </row>
    <row r="65" spans="3:18" x14ac:dyDescent="0.25">
      <c r="C65" s="3" t="s">
        <v>54</v>
      </c>
      <c r="D65" s="38">
        <v>55407101</v>
      </c>
      <c r="E65" s="12">
        <v>360000000</v>
      </c>
      <c r="F65" s="18">
        <v>0</v>
      </c>
      <c r="G65" s="13">
        <v>0</v>
      </c>
      <c r="H65" s="12">
        <v>0</v>
      </c>
      <c r="I65" s="12">
        <v>0</v>
      </c>
      <c r="J65" s="12">
        <f>13166723.11</f>
        <v>13166723.109999999</v>
      </c>
      <c r="K65" s="12">
        <f>17285620.52-J65</f>
        <v>4118897.41</v>
      </c>
      <c r="L65" s="12">
        <f>17285620.52-J65-K65</f>
        <v>0</v>
      </c>
      <c r="M65" s="12">
        <f>17285620.52-F65-G65-H65-I65-J65-K65-L65</f>
        <v>0</v>
      </c>
      <c r="N65" s="12">
        <f>40646872.42+-J65-K65</f>
        <v>23361251.900000002</v>
      </c>
      <c r="O65" s="12">
        <v>0</v>
      </c>
      <c r="P65" s="12">
        <v>0</v>
      </c>
      <c r="Q65" s="12">
        <v>0</v>
      </c>
      <c r="R65" s="12">
        <f>+F65+G65+H65+I65+J65+K65+L65+M65+N65+O65+P65+Q65</f>
        <v>40646872.420000002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110434998307.26999</v>
      </c>
      <c r="F76" s="20">
        <f t="shared" ref="F76:L76" si="32">+F12+F18+F28+F38+F46+F54+F64+F69+F72</f>
        <v>64819230.840000004</v>
      </c>
      <c r="G76" s="15">
        <f t="shared" si="32"/>
        <v>76090242.549999997</v>
      </c>
      <c r="H76" s="15">
        <f t="shared" si="32"/>
        <v>74645182.900000021</v>
      </c>
      <c r="I76" s="15">
        <f t="shared" si="32"/>
        <v>109200219.83999997</v>
      </c>
      <c r="J76" s="15">
        <f t="shared" si="32"/>
        <v>76411482.62000002</v>
      </c>
      <c r="K76" s="15">
        <f t="shared" si="32"/>
        <v>68380448.979999989</v>
      </c>
      <c r="L76" s="15">
        <f t="shared" si="32"/>
        <v>60745110.340000004</v>
      </c>
      <c r="M76" s="15">
        <f t="shared" ref="M76:Q76" si="33">+M12+M18+M28+M38+M46+M54+M64+M69+M72</f>
        <v>65472831.050000012</v>
      </c>
      <c r="N76" s="15">
        <f t="shared" si="33"/>
        <v>485007004.46000004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1080771753.5800002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106</v>
      </c>
      <c r="D86" s="32">
        <f>+D76+D77</f>
        <v>1128343962</v>
      </c>
      <c r="E86" s="32">
        <f>+E76+E77</f>
        <v>110434998307.26999</v>
      </c>
      <c r="F86" s="27">
        <f t="shared" ref="F86:R86" si="39">+F76+F77</f>
        <v>64819230.840000004</v>
      </c>
      <c r="G86" s="27">
        <f t="shared" si="39"/>
        <v>76090242.549999997</v>
      </c>
      <c r="H86" s="27">
        <f t="shared" si="39"/>
        <v>74645182.900000021</v>
      </c>
      <c r="I86" s="27">
        <f t="shared" si="39"/>
        <v>109200219.83999997</v>
      </c>
      <c r="J86" s="27">
        <f t="shared" si="39"/>
        <v>76411482.62000002</v>
      </c>
      <c r="K86" s="27">
        <f t="shared" si="39"/>
        <v>68380448.979999989</v>
      </c>
      <c r="L86" s="27">
        <f t="shared" si="39"/>
        <v>60745110.340000004</v>
      </c>
      <c r="M86" s="27">
        <f t="shared" si="39"/>
        <v>65472831.050000012</v>
      </c>
      <c r="N86" s="27">
        <f t="shared" si="39"/>
        <v>485007004.46000004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1080771753.5800002</v>
      </c>
    </row>
    <row r="88" spans="3:18" ht="15.75" thickBot="1" x14ac:dyDescent="0.3">
      <c r="J88" s="39"/>
    </row>
    <row r="89" spans="3:18" ht="15.75" thickBot="1" x14ac:dyDescent="0.3">
      <c r="C89" s="9" t="s">
        <v>93</v>
      </c>
      <c r="J89" s="36"/>
    </row>
    <row r="90" spans="3:18" ht="30.75" thickBot="1" x14ac:dyDescent="0.3">
      <c r="C90" s="33" t="s">
        <v>94</v>
      </c>
      <c r="J90" s="39"/>
    </row>
    <row r="91" spans="3:18" ht="60.75" thickBot="1" x14ac:dyDescent="0.3">
      <c r="C91" s="8" t="s">
        <v>95</v>
      </c>
    </row>
    <row r="97" spans="3:18" x14ac:dyDescent="0.25">
      <c r="C97" s="29" t="s">
        <v>100</v>
      </c>
      <c r="E97" s="30"/>
      <c r="F97" s="29" t="s">
        <v>102</v>
      </c>
      <c r="G97" s="29"/>
      <c r="H97" s="29"/>
      <c r="I97" s="29"/>
      <c r="J97" s="31"/>
      <c r="K97" s="30"/>
      <c r="L97" s="29"/>
      <c r="M97" s="29" t="s">
        <v>103</v>
      </c>
      <c r="N97" s="29"/>
      <c r="O97" s="30"/>
      <c r="P97" s="30"/>
      <c r="Q97" s="30"/>
      <c r="R97" s="30"/>
    </row>
    <row r="98" spans="3:18" x14ac:dyDescent="0.25">
      <c r="C98" s="31" t="s">
        <v>101</v>
      </c>
      <c r="F98" s="31"/>
      <c r="G98" s="31" t="s">
        <v>105</v>
      </c>
      <c r="H98" s="31"/>
      <c r="I98" s="31"/>
      <c r="J98" s="31"/>
      <c r="K98" s="31"/>
      <c r="L98" s="31"/>
      <c r="M98" s="31"/>
      <c r="N98" s="31" t="s">
        <v>104</v>
      </c>
      <c r="O98" s="31"/>
      <c r="P98" s="31"/>
    </row>
    <row r="99" spans="3:18" x14ac:dyDescent="0.25"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3:18" x14ac:dyDescent="0.25"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presupuesto sept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2025-10-10T17:19:13Z</cp:lastPrinted>
  <dcterms:created xsi:type="dcterms:W3CDTF">2021-07-29T18:58:50Z</dcterms:created>
  <dcterms:modified xsi:type="dcterms:W3CDTF">2025-10-10T18:51:51Z</dcterms:modified>
</cp:coreProperties>
</file>